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vr-node01\Ekonomika\Прогноз 2021-2023\Долгосрочный прогноз\Долгосрочный прогноз\"/>
    </mc:Choice>
  </mc:AlternateContent>
  <bookViews>
    <workbookView xWindow="0" yWindow="0" windowWidth="19200" windowHeight="115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O41" i="1"/>
  <c r="N41" i="1"/>
  <c r="M41" i="1"/>
  <c r="L41" i="1"/>
  <c r="K41" i="1"/>
  <c r="J41" i="1"/>
  <c r="P39" i="1"/>
  <c r="O39" i="1"/>
  <c r="N39" i="1"/>
  <c r="M39" i="1"/>
  <c r="L39" i="1"/>
  <c r="K39" i="1"/>
  <c r="J39" i="1"/>
  <c r="O37" i="1"/>
  <c r="N37" i="1"/>
  <c r="M37" i="1"/>
  <c r="L37" i="1"/>
  <c r="K37" i="1"/>
  <c r="J37" i="1"/>
  <c r="P34" i="1"/>
  <c r="O34" i="1"/>
  <c r="N34" i="1"/>
  <c r="M34" i="1"/>
  <c r="L34" i="1"/>
  <c r="K34" i="1"/>
  <c r="J34" i="1"/>
  <c r="P32" i="1"/>
  <c r="O32" i="1"/>
  <c r="N32" i="1"/>
  <c r="M32" i="1"/>
  <c r="L32" i="1"/>
  <c r="K32" i="1"/>
  <c r="J32" i="1"/>
  <c r="P29" i="1"/>
  <c r="O29" i="1"/>
  <c r="N29" i="1"/>
  <c r="M29" i="1"/>
  <c r="L29" i="1"/>
  <c r="K29" i="1"/>
  <c r="J29" i="1"/>
  <c r="P27" i="1"/>
  <c r="O27" i="1"/>
  <c r="N27" i="1"/>
  <c r="M27" i="1"/>
  <c r="L27" i="1"/>
  <c r="K27" i="1"/>
  <c r="J27" i="1"/>
  <c r="P25" i="1"/>
  <c r="O25" i="1"/>
  <c r="N25" i="1"/>
  <c r="M25" i="1"/>
  <c r="L25" i="1"/>
  <c r="K25" i="1"/>
  <c r="J25" i="1"/>
  <c r="P23" i="1"/>
  <c r="O23" i="1"/>
  <c r="N23" i="1"/>
  <c r="M23" i="1"/>
  <c r="L23" i="1"/>
  <c r="K23" i="1"/>
  <c r="J23" i="1"/>
  <c r="P18" i="1"/>
  <c r="O18" i="1"/>
  <c r="N18" i="1"/>
  <c r="M18" i="1"/>
  <c r="L18" i="1"/>
  <c r="K18" i="1"/>
  <c r="J18" i="1"/>
  <c r="P19" i="1"/>
  <c r="O19" i="1"/>
  <c r="N19" i="1"/>
  <c r="M19" i="1"/>
  <c r="L19" i="1"/>
  <c r="K19" i="1"/>
  <c r="J19" i="1"/>
  <c r="G18" i="1"/>
  <c r="P14" i="1"/>
  <c r="O14" i="1"/>
  <c r="N14" i="1"/>
  <c r="M14" i="1"/>
  <c r="L14" i="1"/>
  <c r="K14" i="1"/>
  <c r="J14" i="1"/>
  <c r="D18" i="1" l="1"/>
  <c r="I18" i="1"/>
  <c r="H18" i="1"/>
  <c r="F18" i="1"/>
  <c r="E18" i="1"/>
  <c r="J20" i="1" l="1"/>
  <c r="J21" i="1" s="1"/>
  <c r="J17" i="1"/>
  <c r="K17" i="1" s="1"/>
  <c r="L17" i="1" s="1"/>
  <c r="M17" i="1" s="1"/>
  <c r="N17" i="1" s="1"/>
  <c r="O17" i="1" s="1"/>
  <c r="P17" i="1" s="1"/>
  <c r="J13" i="1"/>
  <c r="K13" i="1" s="1"/>
  <c r="L13" i="1" s="1"/>
  <c r="M13" i="1" s="1"/>
  <c r="N13" i="1" s="1"/>
  <c r="O13" i="1" s="1"/>
  <c r="P13" i="1" s="1"/>
  <c r="P37" i="1" l="1"/>
  <c r="K20" i="1"/>
  <c r="K21" i="1" s="1"/>
  <c r="L20" i="1" l="1"/>
  <c r="L21" i="1" s="1"/>
  <c r="M20" i="1" l="1"/>
  <c r="M21" i="1" s="1"/>
  <c r="N20" i="1" l="1"/>
  <c r="N21" i="1" s="1"/>
  <c r="P20" i="1" l="1"/>
  <c r="O20" i="1"/>
  <c r="O21" i="1" s="1"/>
  <c r="P21" i="1" l="1"/>
</calcChain>
</file>

<file path=xl/sharedStrings.xml><?xml version="1.0" encoding="utf-8"?>
<sst xmlns="http://schemas.openxmlformats.org/spreadsheetml/2006/main" count="80" uniqueCount="55">
  <si>
    <t>Показатели</t>
  </si>
  <si>
    <t>Единица измерения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</si>
  <si>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</si>
  <si>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</si>
  <si>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</si>
  <si>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</si>
  <si>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</si>
  <si>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</si>
  <si>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</si>
  <si>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</si>
  <si>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</si>
  <si>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</si>
  <si>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Прогноз</t>
  </si>
  <si>
    <t>Основные показатели социально-экономического развития муниципального образования "Город Майкоп" на долгосрочный период до 2030 года</t>
  </si>
  <si>
    <t>Отчет 2018 год</t>
  </si>
  <si>
    <t>Отчет 2019 год</t>
  </si>
  <si>
    <t>Оценка 2020 год</t>
  </si>
  <si>
    <t>Уровень официаль-ной безработицы</t>
  </si>
  <si>
    <t>%</t>
  </si>
  <si>
    <t xml:space="preserve">Человек </t>
  </si>
  <si>
    <t xml:space="preserve">Коэффициент естественного прироста населения </t>
  </si>
  <si>
    <t xml:space="preserve">Коэффициент миграционного прироста населения </t>
  </si>
  <si>
    <t>Млн. рублей</t>
  </si>
  <si>
    <t>Темп роста к предыдущему году</t>
  </si>
  <si>
    <t>Демография, труд и занятость населения</t>
  </si>
  <si>
    <t>Численность населе-ния в трудоспособ-ном возрасте</t>
  </si>
  <si>
    <t>Индекс производства</t>
  </si>
  <si>
    <t>В сопоставимых ценах (в % к предыдущему году)</t>
  </si>
  <si>
    <t>Инвестиции в основной капитал (по крупным и средним предприятиям)</t>
  </si>
  <si>
    <t>Индекс физического объема</t>
  </si>
  <si>
    <t xml:space="preserve">Объем работ, выполненных по виду экономической деятельности "Строи- тельство" </t>
  </si>
  <si>
    <t>Индекс производства по виду деятельности "Строительство"</t>
  </si>
  <si>
    <t>% к предыдущему году в сопоставимых ценах</t>
  </si>
  <si>
    <t>Потребительский рынок</t>
  </si>
  <si>
    <t>Оборот розничной торговли</t>
  </si>
  <si>
    <t>Оборот общественно- го питания</t>
  </si>
  <si>
    <t>Объем платных услуг населению</t>
  </si>
  <si>
    <t xml:space="preserve">Среднегодовая чис- ленность населения </t>
  </si>
  <si>
    <t>Малое и среднее предпринимательство, включая микропредприятия</t>
  </si>
  <si>
    <t>Основные показатели экономической деятельности</t>
  </si>
  <si>
    <t>Млн. рублей    (в ценах соответствую-щих лет)</t>
  </si>
  <si>
    <t>Тыс. рублей</t>
  </si>
  <si>
    <t xml:space="preserve">На 1 000 человек населения </t>
  </si>
  <si>
    <t>Среднемесячная номинальная начисленная заработная плата работников             (по полному кругу предприятий и организаций)</t>
  </si>
  <si>
    <t>Фонд оплаты труда             (по полному кругу предприятий и организаций)</t>
  </si>
  <si>
    <t>Объем отгруженных товаров собственного производства, выполненных работ, услуг (по полному кругу предприятий и организаций)</t>
  </si>
  <si>
    <t>Оборот на малых предприятиях, включая микропредприятия, в действующих ценах</t>
  </si>
  <si>
    <t>Оборот на средних предприятиях, в действующих ценах</t>
  </si>
  <si>
    <t>Среднесписочная численность работников             (по полному кругу предприятий и организаций)</t>
  </si>
  <si>
    <t xml:space="preserve">Объем производства сельскохозяйственной продукции - валовое производство (во всех категориях хозяйств) </t>
  </si>
  <si>
    <t>к прогнозу социально-экономического развития</t>
  </si>
  <si>
    <t>муниципального образования "Город Майкоп"</t>
  </si>
  <si>
    <t>на долгосрочный период до 2030 года</t>
  </si>
  <si>
    <t>Приложение № 4</t>
  </si>
  <si>
    <t>(целевой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</si>
</sst>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165" fontId="1" fillId="0" borderId="22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9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3" xfId="0" applyNumberFormat="1" applyFont="1" applyBorder="1" applyAlignment="1">
      <alignment wrapText="1"/>
    </xf>
    <xf numFmtId="165" fontId="1" fillId="0" borderId="14" xfId="0" applyNumberFormat="1" applyFont="1" applyBorder="1" applyAlignment="1">
      <alignment wrapText="1"/>
    </xf>
    <xf numFmtId="165" fontId="1" fillId="0" borderId="23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1" fontId="1" fillId="0" borderId="13" xfId="0" applyNumberFormat="1" applyFont="1" applyBorder="1" applyAlignment="1">
      <alignment wrapText="1"/>
    </xf>
    <xf numFmtId="1" fontId="1" fillId="0" borderId="14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9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wrapText="1"/>
    </xf>
    <xf numFmtId="165" fontId="1" fillId="0" borderId="25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11" fontId="4" fillId="0" borderId="11" xfId="0" applyNumberFormat="1" applyFont="1" applyBorder="1" applyAlignment="1">
      <alignment horizontal="left" wrapText="1"/>
    </xf>
    <xf numFmtId="11" fontId="4" fillId="0" borderId="12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64" fontId="1" fillId="0" borderId="22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74"/>
  <sheetViews>
    <sheetView tabSelected="1" topLeftCell="A16" zoomScale="85" zoomScaleNormal="85" workbookViewId="0">
      <selection activeCell="I20" sqref="I20"/>
    </sheetView>
  </sheetViews>
  <sheetFormatPr defaultRowHeight="15" x14ac:dyDescent="0.25"/>
  <cols>
    <col min="3" max="3" width="13.28515625" customWidth="1"/>
    <col min="4" max="9" width="13.140625" bestFit="1" customWidth="1"/>
    <col min="10" max="10" width="11.85546875" bestFit="1" customWidth="1"/>
    <col min="11" max="16" width="13.140625" bestFit="1" customWidth="1"/>
  </cols>
  <sheetData>
    <row r="2" spans="1:25" ht="15.75" x14ac:dyDescent="0.25">
      <c r="K2" s="46" t="s">
        <v>53</v>
      </c>
      <c r="L2" s="46"/>
      <c r="M2" s="46"/>
      <c r="N2" s="46"/>
      <c r="O2" s="46"/>
      <c r="P2" s="46"/>
    </row>
    <row r="3" spans="1:25" ht="15.75" x14ac:dyDescent="0.25">
      <c r="K3" s="46" t="s">
        <v>50</v>
      </c>
      <c r="L3" s="46"/>
      <c r="M3" s="46"/>
      <c r="N3" s="46"/>
      <c r="O3" s="46"/>
      <c r="P3" s="46"/>
    </row>
    <row r="4" spans="1:25" ht="15.75" x14ac:dyDescent="0.25">
      <c r="K4" s="46" t="s">
        <v>51</v>
      </c>
      <c r="L4" s="46"/>
      <c r="M4" s="46"/>
      <c r="N4" s="46"/>
      <c r="O4" s="46"/>
      <c r="P4" s="46"/>
    </row>
    <row r="5" spans="1:25" ht="15.75" x14ac:dyDescent="0.25">
      <c r="K5" s="46" t="s">
        <v>52</v>
      </c>
      <c r="L5" s="46"/>
      <c r="M5" s="46"/>
      <c r="N5" s="46"/>
      <c r="O5" s="46"/>
      <c r="P5" s="46"/>
    </row>
    <row r="6" spans="1:25" ht="18.75" x14ac:dyDescent="0.3">
      <c r="K6" s="44"/>
      <c r="L6" s="44"/>
      <c r="M6" s="44"/>
      <c r="N6" s="44"/>
      <c r="O6" s="44"/>
      <c r="P6" s="44"/>
    </row>
    <row r="7" spans="1:25" ht="18.75" x14ac:dyDescent="0.3">
      <c r="A7" s="7"/>
      <c r="B7" s="47" t="s">
        <v>13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"/>
    </row>
    <row r="8" spans="1:25" ht="0.75" customHeight="1" x14ac:dyDescent="0.3">
      <c r="A8" s="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8"/>
      <c r="Q8" s="1"/>
      <c r="R8" s="1"/>
      <c r="S8" s="1"/>
      <c r="T8" s="1"/>
      <c r="U8" s="1"/>
      <c r="V8" s="1"/>
      <c r="W8" s="1"/>
      <c r="X8" s="1"/>
      <c r="Y8" s="1"/>
    </row>
    <row r="9" spans="1:25" ht="18.75" customHeight="1" thickBot="1" x14ac:dyDescent="0.35">
      <c r="A9" s="7"/>
      <c r="B9" s="45"/>
      <c r="C9" s="45"/>
      <c r="D9" s="45"/>
      <c r="E9" s="45"/>
      <c r="F9" s="45"/>
      <c r="G9" s="48" t="s">
        <v>54</v>
      </c>
      <c r="H9" s="48"/>
      <c r="I9" s="48"/>
      <c r="J9" s="48"/>
      <c r="K9" s="48"/>
      <c r="L9" s="48"/>
      <c r="M9" s="45"/>
      <c r="N9" s="45"/>
      <c r="O9" s="45"/>
      <c r="P9" s="7"/>
      <c r="Q9" s="1"/>
      <c r="R9" s="1"/>
      <c r="S9" s="1"/>
      <c r="T9" s="1"/>
      <c r="U9" s="1"/>
      <c r="V9" s="1"/>
      <c r="W9" s="1"/>
      <c r="X9" s="1"/>
      <c r="Y9" s="1"/>
    </row>
    <row r="10" spans="1:25" ht="15.75" x14ac:dyDescent="0.25">
      <c r="A10" s="62" t="s">
        <v>0</v>
      </c>
      <c r="B10" s="63"/>
      <c r="C10" s="63" t="s">
        <v>1</v>
      </c>
      <c r="D10" s="66" t="s">
        <v>14</v>
      </c>
      <c r="E10" s="66" t="s">
        <v>15</v>
      </c>
      <c r="F10" s="66" t="s">
        <v>16</v>
      </c>
      <c r="G10" s="55" t="s">
        <v>12</v>
      </c>
      <c r="H10" s="56"/>
      <c r="I10" s="56"/>
      <c r="J10" s="56"/>
      <c r="K10" s="56"/>
      <c r="L10" s="56"/>
      <c r="M10" s="56"/>
      <c r="N10" s="56"/>
      <c r="O10" s="56"/>
      <c r="P10" s="57"/>
      <c r="Q10" s="1"/>
      <c r="R10" s="1"/>
      <c r="S10" s="1"/>
      <c r="T10" s="1"/>
      <c r="U10" s="1"/>
      <c r="V10" s="1"/>
      <c r="W10" s="1"/>
      <c r="X10" s="1"/>
      <c r="Y10" s="1"/>
    </row>
    <row r="11" spans="1:25" ht="24" customHeight="1" x14ac:dyDescent="0.25">
      <c r="A11" s="64"/>
      <c r="B11" s="65"/>
      <c r="C11" s="65"/>
      <c r="D11" s="67"/>
      <c r="E11" s="67"/>
      <c r="F11" s="67"/>
      <c r="G11" s="40" t="s">
        <v>2</v>
      </c>
      <c r="H11" s="40" t="s">
        <v>3</v>
      </c>
      <c r="I11" s="40" t="s">
        <v>4</v>
      </c>
      <c r="J11" s="40" t="s">
        <v>5</v>
      </c>
      <c r="K11" s="40" t="s">
        <v>6</v>
      </c>
      <c r="L11" s="40" t="s">
        <v>7</v>
      </c>
      <c r="M11" s="40" t="s">
        <v>8</v>
      </c>
      <c r="N11" s="40" t="s">
        <v>9</v>
      </c>
      <c r="O11" s="40" t="s">
        <v>10</v>
      </c>
      <c r="P11" s="41" t="s">
        <v>11</v>
      </c>
      <c r="Q11" s="1"/>
      <c r="R11" s="1"/>
      <c r="S11" s="1"/>
      <c r="T11" s="1"/>
      <c r="U11" s="1"/>
      <c r="V11" s="1"/>
      <c r="W11" s="1"/>
      <c r="X11" s="1"/>
      <c r="Y11" s="1"/>
    </row>
    <row r="12" spans="1:25" ht="16.5" thickBot="1" x14ac:dyDescent="0.3">
      <c r="A12" s="58" t="s">
        <v>24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</row>
    <row r="13" spans="1:25" ht="24.75" customHeight="1" x14ac:dyDescent="0.25">
      <c r="A13" s="51" t="s">
        <v>37</v>
      </c>
      <c r="B13" s="52"/>
      <c r="C13" s="9" t="s">
        <v>19</v>
      </c>
      <c r="D13" s="11">
        <v>164512</v>
      </c>
      <c r="E13" s="11">
        <v>164162</v>
      </c>
      <c r="F13" s="11">
        <v>164249</v>
      </c>
      <c r="G13" s="32">
        <v>164419</v>
      </c>
      <c r="H13" s="32">
        <v>164929</v>
      </c>
      <c r="I13" s="32">
        <v>165869</v>
      </c>
      <c r="J13" s="33">
        <f>I13*100.8/100</f>
        <v>167195.95199999999</v>
      </c>
      <c r="K13" s="33">
        <f>J13*100.7/100</f>
        <v>168366.323664</v>
      </c>
      <c r="L13" s="33">
        <f>K13*101.1/100</f>
        <v>170218.35322430398</v>
      </c>
      <c r="M13" s="33">
        <f>L13*101.1/100</f>
        <v>172090.7551097713</v>
      </c>
      <c r="N13" s="33">
        <f>M13*101.1/100</f>
        <v>173983.75341597878</v>
      </c>
      <c r="O13" s="33">
        <f>N13*101.1/100</f>
        <v>175897.57470355454</v>
      </c>
      <c r="P13" s="34">
        <f>O13*101.1/100</f>
        <v>177832.44802529362</v>
      </c>
    </row>
    <row r="14" spans="1:25" ht="36.75" customHeight="1" x14ac:dyDescent="0.25">
      <c r="A14" s="51" t="s">
        <v>25</v>
      </c>
      <c r="B14" s="52"/>
      <c r="C14" s="9" t="s">
        <v>19</v>
      </c>
      <c r="D14" s="11">
        <v>87578</v>
      </c>
      <c r="E14" s="11">
        <v>90433</v>
      </c>
      <c r="F14" s="11">
        <v>90650</v>
      </c>
      <c r="G14" s="32">
        <v>91730</v>
      </c>
      <c r="H14" s="32">
        <v>91900</v>
      </c>
      <c r="I14" s="32">
        <v>92100</v>
      </c>
      <c r="J14" s="33">
        <f>I14*101.7/100</f>
        <v>93665.7</v>
      </c>
      <c r="K14" s="33">
        <f>J14*101.7/100</f>
        <v>95258.016899999988</v>
      </c>
      <c r="L14" s="33">
        <f>K14*101.7/100</f>
        <v>96877.403187299991</v>
      </c>
      <c r="M14" s="33">
        <f>L14*101.7/100</f>
        <v>98524.319041484094</v>
      </c>
      <c r="N14" s="33">
        <f>M14*101.3/100</f>
        <v>99805.135189023393</v>
      </c>
      <c r="O14" s="33">
        <f>N14*101/100</f>
        <v>100803.18654091362</v>
      </c>
      <c r="P14" s="34">
        <f>O14*100.5/100</f>
        <v>101307.20247361818</v>
      </c>
    </row>
    <row r="15" spans="1:25" ht="39" customHeight="1" x14ac:dyDescent="0.25">
      <c r="A15" s="51" t="s">
        <v>20</v>
      </c>
      <c r="B15" s="52"/>
      <c r="C15" s="9" t="s">
        <v>42</v>
      </c>
      <c r="D15" s="12">
        <v>-1.2</v>
      </c>
      <c r="E15" s="12">
        <v>-2.4</v>
      </c>
      <c r="F15" s="2">
        <v>-0.7</v>
      </c>
      <c r="G15" s="2">
        <v>-0.5</v>
      </c>
      <c r="H15" s="2">
        <v>0.1</v>
      </c>
      <c r="I15" s="2">
        <v>0.5</v>
      </c>
      <c r="J15" s="2">
        <v>0.9</v>
      </c>
      <c r="K15" s="2">
        <v>0.8</v>
      </c>
      <c r="L15" s="2">
        <v>1.2</v>
      </c>
      <c r="M15" s="2">
        <v>1.2</v>
      </c>
      <c r="N15" s="2">
        <v>1.2</v>
      </c>
      <c r="O15" s="2">
        <v>1.2</v>
      </c>
      <c r="P15" s="3">
        <v>1.2</v>
      </c>
    </row>
    <row r="16" spans="1:25" ht="40.5" customHeight="1" x14ac:dyDescent="0.25">
      <c r="A16" s="51" t="s">
        <v>21</v>
      </c>
      <c r="B16" s="52"/>
      <c r="C16" s="9" t="s">
        <v>42</v>
      </c>
      <c r="D16" s="12">
        <v>-8.1999999999999993</v>
      </c>
      <c r="E16" s="12">
        <v>7.4</v>
      </c>
      <c r="F16" s="2">
        <v>1.3</v>
      </c>
      <c r="G16" s="2">
        <v>1.5</v>
      </c>
      <c r="H16" s="29">
        <v>3</v>
      </c>
      <c r="I16" s="29">
        <v>5.0999999999999996</v>
      </c>
      <c r="J16" s="29">
        <v>7</v>
      </c>
      <c r="K16" s="2">
        <v>6.1</v>
      </c>
      <c r="L16" s="2">
        <v>9.6999999999999993</v>
      </c>
      <c r="M16" s="2">
        <v>9.6999999999999993</v>
      </c>
      <c r="N16" s="2">
        <v>9.6999999999999993</v>
      </c>
      <c r="O16" s="2">
        <v>9.6999999999999993</v>
      </c>
      <c r="P16" s="3">
        <v>9.6999999999999993</v>
      </c>
    </row>
    <row r="17" spans="1:16" ht="26.25" customHeight="1" x14ac:dyDescent="0.25">
      <c r="A17" s="51" t="s">
        <v>17</v>
      </c>
      <c r="B17" s="52"/>
      <c r="C17" s="10" t="s">
        <v>18</v>
      </c>
      <c r="D17" s="6">
        <v>0.6</v>
      </c>
      <c r="E17" s="6">
        <v>0.6</v>
      </c>
      <c r="F17" s="4">
        <v>4.8</v>
      </c>
      <c r="G17" s="4">
        <v>4.2</v>
      </c>
      <c r="H17" s="24">
        <v>4</v>
      </c>
      <c r="I17" s="4">
        <v>3.7</v>
      </c>
      <c r="J17" s="24">
        <f>I17*95.8/100</f>
        <v>3.5446</v>
      </c>
      <c r="K17" s="24">
        <f>J17*94.2/100</f>
        <v>3.3390132000000001</v>
      </c>
      <c r="L17" s="24">
        <f>K17*95.4/100</f>
        <v>3.1854185928000005</v>
      </c>
      <c r="M17" s="24">
        <f>L17*96.8/100</f>
        <v>3.0834851978304005</v>
      </c>
      <c r="N17" s="24">
        <f>M17*93.3/100</f>
        <v>2.8768916895757637</v>
      </c>
      <c r="O17" s="24">
        <f>N17*94.6/100</f>
        <v>2.7215395383386722</v>
      </c>
      <c r="P17" s="25">
        <f>O17*94.3/100</f>
        <v>2.5664117846533681</v>
      </c>
    </row>
    <row r="18" spans="1:16" ht="103.5" customHeight="1" x14ac:dyDescent="0.25">
      <c r="A18" s="53" t="s">
        <v>43</v>
      </c>
      <c r="B18" s="54"/>
      <c r="C18" s="9" t="s">
        <v>41</v>
      </c>
      <c r="D18" s="39">
        <f t="shared" ref="D18:I18" si="0">D20/D19/12*1000</f>
        <v>27.552778069530511</v>
      </c>
      <c r="E18" s="20">
        <f t="shared" si="0"/>
        <v>30.200317965023853</v>
      </c>
      <c r="F18" s="35">
        <f t="shared" si="0"/>
        <v>31.330325113690932</v>
      </c>
      <c r="G18" s="35">
        <f>G20/G19/12*1000</f>
        <v>32.792045374480374</v>
      </c>
      <c r="H18" s="35">
        <f t="shared" si="0"/>
        <v>34.257780486267258</v>
      </c>
      <c r="I18" s="35">
        <f t="shared" si="0"/>
        <v>35.780399841564346</v>
      </c>
      <c r="J18" s="35">
        <f>I18*106.9/100</f>
        <v>38.249247430632288</v>
      </c>
      <c r="K18" s="35">
        <f>J18*106.4/100</f>
        <v>40.697199266192754</v>
      </c>
      <c r="L18" s="35">
        <f>K18*106.5/100</f>
        <v>43.342517218495288</v>
      </c>
      <c r="M18" s="35">
        <f>L18*106.3/100</f>
        <v>46.073095803260493</v>
      </c>
      <c r="N18" s="35">
        <f>M18*106.1/100</f>
        <v>48.88355464725938</v>
      </c>
      <c r="O18" s="35">
        <f>N18*106/100</f>
        <v>51.81656792609494</v>
      </c>
      <c r="P18" s="36">
        <f>O18*105.6/100</f>
        <v>54.718295729956253</v>
      </c>
    </row>
    <row r="19" spans="1:16" ht="75.75" customHeight="1" x14ac:dyDescent="0.25">
      <c r="A19" s="53" t="s">
        <v>48</v>
      </c>
      <c r="B19" s="54"/>
      <c r="C19" s="9" t="s">
        <v>19</v>
      </c>
      <c r="D19" s="13">
        <v>47605</v>
      </c>
      <c r="E19" s="37">
        <v>47175</v>
      </c>
      <c r="F19" s="37">
        <v>47204</v>
      </c>
      <c r="G19" s="37">
        <v>47310</v>
      </c>
      <c r="H19" s="37">
        <v>47587</v>
      </c>
      <c r="I19" s="37">
        <v>47969</v>
      </c>
      <c r="J19" s="37">
        <f>I19*101.1/100</f>
        <v>48496.658999999992</v>
      </c>
      <c r="K19" s="37">
        <f>J19*101.1/100</f>
        <v>49030.122248999985</v>
      </c>
      <c r="L19" s="37">
        <f>K19*101.6/100</f>
        <v>49814.604204983982</v>
      </c>
      <c r="M19" s="37">
        <f>L19*101.5/100</f>
        <v>50561.823268058739</v>
      </c>
      <c r="N19" s="37">
        <f>M19*101.5/100</f>
        <v>51320.250617079626</v>
      </c>
      <c r="O19" s="37">
        <f>N19*101.5/100</f>
        <v>52090.054376335822</v>
      </c>
      <c r="P19" s="38">
        <f>O19*101.5/100</f>
        <v>52871.405191980863</v>
      </c>
    </row>
    <row r="20" spans="1:16" ht="50.25" customHeight="1" x14ac:dyDescent="0.25">
      <c r="A20" s="53" t="s">
        <v>44</v>
      </c>
      <c r="B20" s="54"/>
      <c r="C20" s="10" t="s">
        <v>22</v>
      </c>
      <c r="D20" s="18">
        <v>15739.8</v>
      </c>
      <c r="E20" s="28">
        <v>17096.400000000001</v>
      </c>
      <c r="F20" s="28">
        <v>17747</v>
      </c>
      <c r="G20" s="28">
        <v>18616.7</v>
      </c>
      <c r="H20" s="28">
        <v>19562.7</v>
      </c>
      <c r="I20" s="28">
        <v>20596.2</v>
      </c>
      <c r="J20" s="28">
        <f t="shared" ref="J20:P20" si="1">J18*12*J19/1000</f>
        <v>22259.528515800001</v>
      </c>
      <c r="K20" s="28">
        <f t="shared" si="1"/>
        <v>23944.663862560119</v>
      </c>
      <c r="L20" s="28">
        <f t="shared" si="1"/>
        <v>25909.084085844555</v>
      </c>
      <c r="M20" s="28">
        <f t="shared" si="1"/>
        <v>27954.476729001552</v>
      </c>
      <c r="N20" s="28">
        <f t="shared" si="1"/>
        <v>30104.595306612704</v>
      </c>
      <c r="O20" s="28">
        <f t="shared" si="1"/>
        <v>32389.534090384612</v>
      </c>
      <c r="P20" s="28">
        <f t="shared" si="1"/>
        <v>34716.39821943784</v>
      </c>
    </row>
    <row r="21" spans="1:16" ht="27.75" customHeight="1" x14ac:dyDescent="0.25">
      <c r="A21" s="53" t="s">
        <v>23</v>
      </c>
      <c r="B21" s="54"/>
      <c r="C21" s="10" t="s">
        <v>18</v>
      </c>
      <c r="D21" s="6"/>
      <c r="E21" s="4">
        <v>108.6</v>
      </c>
      <c r="F21" s="4">
        <v>103.8</v>
      </c>
      <c r="G21" s="4">
        <v>104.9</v>
      </c>
      <c r="H21" s="24">
        <v>105.1</v>
      </c>
      <c r="I21" s="4">
        <v>105.3</v>
      </c>
      <c r="J21" s="42">
        <f t="shared" ref="J21:P21" si="2">J20/I20*100</f>
        <v>108.0759</v>
      </c>
      <c r="K21" s="24">
        <f t="shared" si="2"/>
        <v>107.57039999999998</v>
      </c>
      <c r="L21" s="24">
        <f t="shared" si="2"/>
        <v>108.20400000000001</v>
      </c>
      <c r="M21" s="24">
        <f t="shared" si="2"/>
        <v>107.89449999999998</v>
      </c>
      <c r="N21" s="24">
        <f t="shared" si="2"/>
        <v>107.69149999999999</v>
      </c>
      <c r="O21" s="24">
        <f t="shared" si="2"/>
        <v>107.59</v>
      </c>
      <c r="P21" s="43">
        <f t="shared" si="2"/>
        <v>107.184</v>
      </c>
    </row>
    <row r="22" spans="1:16" ht="16.5" customHeight="1" thickBot="1" x14ac:dyDescent="0.3">
      <c r="A22" s="58" t="s">
        <v>39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</row>
    <row r="23" spans="1:16" ht="89.25" customHeight="1" x14ac:dyDescent="0.25">
      <c r="A23" s="53" t="s">
        <v>45</v>
      </c>
      <c r="B23" s="54"/>
      <c r="C23" s="10" t="s">
        <v>22</v>
      </c>
      <c r="D23" s="19">
        <v>19288.8</v>
      </c>
      <c r="E23" s="19">
        <v>18786.599999999999</v>
      </c>
      <c r="F23" s="19">
        <v>16734.400000000001</v>
      </c>
      <c r="G23" s="19">
        <v>17690.400000000001</v>
      </c>
      <c r="H23" s="19">
        <v>18561.400000000001</v>
      </c>
      <c r="I23" s="19">
        <v>19290.3</v>
      </c>
      <c r="J23" s="29">
        <f>I23*104.7/100</f>
        <v>20196.944100000001</v>
      </c>
      <c r="K23" s="29">
        <f>J23*104.5/100</f>
        <v>21105.806584499998</v>
      </c>
      <c r="L23" s="29">
        <f>K23*104.3/100</f>
        <v>22013.356267633499</v>
      </c>
      <c r="M23" s="29">
        <f>L23*104.1/100</f>
        <v>22915.903874606473</v>
      </c>
      <c r="N23" s="29">
        <f>M23*104/100</f>
        <v>23832.540029590731</v>
      </c>
      <c r="O23" s="29">
        <f>N23*103.8/100</f>
        <v>24738.176550715179</v>
      </c>
      <c r="P23" s="30">
        <f>O23*103.7/100</f>
        <v>25653.489083091641</v>
      </c>
    </row>
    <row r="24" spans="1:16" ht="15.75" customHeight="1" x14ac:dyDescent="0.25">
      <c r="A24" s="49" t="s">
        <v>26</v>
      </c>
      <c r="B24" s="50"/>
      <c r="C24" s="14" t="s">
        <v>18</v>
      </c>
      <c r="D24" s="20"/>
      <c r="E24" s="4">
        <v>91.7</v>
      </c>
      <c r="F24" s="4">
        <v>89.2</v>
      </c>
      <c r="G24" s="4">
        <v>102.8</v>
      </c>
      <c r="H24" s="4">
        <v>102.2</v>
      </c>
      <c r="I24" s="4">
        <v>101.2</v>
      </c>
      <c r="J24" s="4">
        <v>105.4</v>
      </c>
      <c r="K24" s="4">
        <v>105.8</v>
      </c>
      <c r="L24" s="4">
        <v>106.3</v>
      </c>
      <c r="M24" s="4">
        <v>106.8</v>
      </c>
      <c r="N24" s="4">
        <v>107.3</v>
      </c>
      <c r="O24" s="4">
        <v>107.8</v>
      </c>
      <c r="P24" s="25">
        <v>108.2</v>
      </c>
    </row>
    <row r="25" spans="1:16" ht="77.25" customHeight="1" x14ac:dyDescent="0.25">
      <c r="A25" s="53" t="s">
        <v>49</v>
      </c>
      <c r="B25" s="54"/>
      <c r="C25" s="10" t="s">
        <v>22</v>
      </c>
      <c r="D25" s="18">
        <v>779.2</v>
      </c>
      <c r="E25" s="4">
        <v>906.3</v>
      </c>
      <c r="F25" s="4">
        <v>940.7</v>
      </c>
      <c r="G25" s="4">
        <v>977.5</v>
      </c>
      <c r="H25" s="28">
        <v>1015.7</v>
      </c>
      <c r="I25" s="28">
        <v>1059.4000000000001</v>
      </c>
      <c r="J25" s="24">
        <f>I25*103.6/100</f>
        <v>1097.5383999999999</v>
      </c>
      <c r="K25" s="24">
        <f>J25*109.8/100</f>
        <v>1205.0971631999998</v>
      </c>
      <c r="L25" s="24">
        <f>K25*105.1/100</f>
        <v>1266.5571185231997</v>
      </c>
      <c r="M25" s="24">
        <f>L25*105.1/100</f>
        <v>1331.151531567883</v>
      </c>
      <c r="N25" s="24">
        <f>M25*106.2/100</f>
        <v>1413.6829265250917</v>
      </c>
      <c r="O25" s="24">
        <f>N25*105.7/100</f>
        <v>1494.2628533370219</v>
      </c>
      <c r="P25" s="25">
        <f>O25*104.9/100</f>
        <v>1567.481733150536</v>
      </c>
    </row>
    <row r="26" spans="1:16" ht="37.5" customHeight="1" x14ac:dyDescent="0.25">
      <c r="A26" s="49" t="s">
        <v>27</v>
      </c>
      <c r="B26" s="50"/>
      <c r="C26" s="14" t="s">
        <v>18</v>
      </c>
      <c r="D26" s="20"/>
      <c r="E26" s="4">
        <v>112.6</v>
      </c>
      <c r="F26" s="4">
        <v>100.3</v>
      </c>
      <c r="G26" s="24">
        <v>100.2</v>
      </c>
      <c r="H26" s="24">
        <v>100.2</v>
      </c>
      <c r="I26" s="24">
        <v>100.1</v>
      </c>
      <c r="J26" s="24">
        <v>101</v>
      </c>
      <c r="K26" s="24">
        <v>101.5</v>
      </c>
      <c r="L26" s="24">
        <v>102</v>
      </c>
      <c r="M26" s="24">
        <v>102.5</v>
      </c>
      <c r="N26" s="24">
        <v>102.2</v>
      </c>
      <c r="O26" s="24">
        <v>102</v>
      </c>
      <c r="P26" s="25">
        <v>102.5</v>
      </c>
    </row>
    <row r="27" spans="1:16" ht="50.25" customHeight="1" x14ac:dyDescent="0.25">
      <c r="A27" s="53" t="s">
        <v>28</v>
      </c>
      <c r="B27" s="54"/>
      <c r="C27" s="10" t="s">
        <v>22</v>
      </c>
      <c r="D27" s="18">
        <v>4651.8999999999996</v>
      </c>
      <c r="E27" s="28">
        <v>6934.8</v>
      </c>
      <c r="F27" s="28">
        <v>6771.8</v>
      </c>
      <c r="G27" s="28">
        <v>7167.8</v>
      </c>
      <c r="H27" s="28">
        <v>7647.5</v>
      </c>
      <c r="I27" s="28">
        <v>8231.4</v>
      </c>
      <c r="J27" s="24">
        <f>I27*115/100</f>
        <v>9466.11</v>
      </c>
      <c r="K27" s="24">
        <f>J27*115.4/100</f>
        <v>10923.890940000001</v>
      </c>
      <c r="L27" s="24">
        <f>K27*113.3/100</f>
        <v>12376.768435020002</v>
      </c>
      <c r="M27" s="24">
        <f>L27*111.7/100</f>
        <v>13824.850341917341</v>
      </c>
      <c r="N27" s="24">
        <f>M27*110.4/100</f>
        <v>15262.634777476746</v>
      </c>
      <c r="O27" s="24">
        <f>N27*112.3/100</f>
        <v>17139.938855106386</v>
      </c>
      <c r="P27" s="25">
        <f>O27*113.4/100</f>
        <v>19436.690661690642</v>
      </c>
    </row>
    <row r="28" spans="1:16" ht="27" customHeight="1" x14ac:dyDescent="0.25">
      <c r="A28" s="49" t="s">
        <v>29</v>
      </c>
      <c r="B28" s="50"/>
      <c r="C28" s="14" t="s">
        <v>18</v>
      </c>
      <c r="D28" s="15"/>
      <c r="E28" s="16">
        <v>136.9</v>
      </c>
      <c r="F28" s="23">
        <v>93</v>
      </c>
      <c r="G28" s="23">
        <v>101</v>
      </c>
      <c r="H28" s="23">
        <v>102</v>
      </c>
      <c r="I28" s="23">
        <v>103</v>
      </c>
      <c r="J28" s="16">
        <v>109.7</v>
      </c>
      <c r="K28" s="16">
        <v>110.3</v>
      </c>
      <c r="L28" s="23">
        <v>108.5</v>
      </c>
      <c r="M28" s="16">
        <v>107.3</v>
      </c>
      <c r="N28" s="16">
        <v>105.8</v>
      </c>
      <c r="O28" s="16">
        <v>107.7</v>
      </c>
      <c r="P28" s="31">
        <v>109</v>
      </c>
    </row>
    <row r="29" spans="1:16" ht="65.25" customHeight="1" x14ac:dyDescent="0.25">
      <c r="A29" s="53" t="s">
        <v>30</v>
      </c>
      <c r="B29" s="54"/>
      <c r="C29" s="10" t="s">
        <v>40</v>
      </c>
      <c r="D29" s="21">
        <v>1821.8</v>
      </c>
      <c r="E29" s="23">
        <v>2690</v>
      </c>
      <c r="F29" s="23">
        <v>2400</v>
      </c>
      <c r="G29" s="23">
        <v>2508</v>
      </c>
      <c r="H29" s="68">
        <v>2625.9</v>
      </c>
      <c r="I29" s="68">
        <v>2754.6</v>
      </c>
      <c r="J29" s="23">
        <f>I29*105.2/100</f>
        <v>2897.8391999999999</v>
      </c>
      <c r="K29" s="23">
        <f>J29*105.2/100</f>
        <v>3048.5268384000001</v>
      </c>
      <c r="L29" s="23">
        <f>K29*105.2/100</f>
        <v>3207.0502339968002</v>
      </c>
      <c r="M29" s="23">
        <f>L29*105.2/100</f>
        <v>3373.8168461646337</v>
      </c>
      <c r="N29" s="23">
        <f>M29*105.2/100</f>
        <v>3549.2553221651947</v>
      </c>
      <c r="O29" s="23">
        <f>N29*105.2/100</f>
        <v>3733.8165989177851</v>
      </c>
      <c r="P29" s="31">
        <f>O29*105.2/100</f>
        <v>3927.97506206151</v>
      </c>
    </row>
    <row r="30" spans="1:16" ht="65.25" customHeight="1" x14ac:dyDescent="0.25">
      <c r="A30" s="49" t="s">
        <v>31</v>
      </c>
      <c r="B30" s="50"/>
      <c r="C30" s="14" t="s">
        <v>32</v>
      </c>
      <c r="D30" s="15"/>
      <c r="E30" s="16">
        <v>135.19999999999999</v>
      </c>
      <c r="F30" s="16">
        <v>85.2</v>
      </c>
      <c r="G30" s="23">
        <v>100</v>
      </c>
      <c r="H30" s="23">
        <v>100</v>
      </c>
      <c r="I30" s="23">
        <v>100</v>
      </c>
      <c r="J30" s="16">
        <v>100.5</v>
      </c>
      <c r="K30" s="16">
        <v>100.5</v>
      </c>
      <c r="L30" s="16">
        <v>100.5</v>
      </c>
      <c r="M30" s="16">
        <v>100.5</v>
      </c>
      <c r="N30" s="16">
        <v>100.5</v>
      </c>
      <c r="O30" s="16">
        <v>100.5</v>
      </c>
      <c r="P30" s="17">
        <v>100.5</v>
      </c>
    </row>
    <row r="31" spans="1:16" ht="16.5" customHeight="1" thickBot="1" x14ac:dyDescent="0.3">
      <c r="A31" s="58" t="s">
        <v>38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</row>
    <row r="32" spans="1:16" ht="63.75" customHeight="1" x14ac:dyDescent="0.25">
      <c r="A32" s="53" t="s">
        <v>46</v>
      </c>
      <c r="B32" s="54"/>
      <c r="C32" s="10" t="s">
        <v>22</v>
      </c>
      <c r="D32" s="18">
        <v>27838.5</v>
      </c>
      <c r="E32" s="28">
        <v>28757.200000000001</v>
      </c>
      <c r="F32" s="28">
        <v>28268.3</v>
      </c>
      <c r="G32" s="28">
        <v>30162.3</v>
      </c>
      <c r="H32" s="28">
        <v>32575.3</v>
      </c>
      <c r="I32" s="28">
        <v>35507</v>
      </c>
      <c r="J32" s="24">
        <f>I32*104.7/100</f>
        <v>37175.828999999998</v>
      </c>
      <c r="K32" s="24">
        <f>J32*104.5/100</f>
        <v>38848.741305000003</v>
      </c>
      <c r="L32" s="24">
        <f>K32*104.3/100</f>
        <v>40519.237181115001</v>
      </c>
      <c r="M32" s="24">
        <f>L32*104.1/100</f>
        <v>42180.525905540715</v>
      </c>
      <c r="N32" s="24">
        <f>M32*104/100</f>
        <v>43867.746941762343</v>
      </c>
      <c r="O32" s="24">
        <f>N32*103.8/100</f>
        <v>45534.721325549319</v>
      </c>
      <c r="P32" s="25">
        <f>O32*103.7/100</f>
        <v>47219.506014594641</v>
      </c>
    </row>
    <row r="33" spans="1:16" ht="25.5" customHeight="1" x14ac:dyDescent="0.25">
      <c r="A33" s="49" t="s">
        <v>29</v>
      </c>
      <c r="B33" s="50"/>
      <c r="C33" s="10" t="s">
        <v>18</v>
      </c>
      <c r="D33" s="6"/>
      <c r="E33" s="4">
        <v>101.1</v>
      </c>
      <c r="F33" s="24">
        <v>94.8</v>
      </c>
      <c r="G33" s="24">
        <v>102.6</v>
      </c>
      <c r="H33" s="24">
        <v>103.8</v>
      </c>
      <c r="I33" s="24">
        <v>104.8</v>
      </c>
      <c r="J33" s="4">
        <v>105.4</v>
      </c>
      <c r="K33" s="4">
        <v>105.8</v>
      </c>
      <c r="L33" s="4">
        <v>106.3</v>
      </c>
      <c r="M33" s="4">
        <v>106.8</v>
      </c>
      <c r="N33" s="4">
        <v>107.3</v>
      </c>
      <c r="O33" s="4">
        <v>107.8</v>
      </c>
      <c r="P33" s="25">
        <v>108.2</v>
      </c>
    </row>
    <row r="34" spans="1:16" ht="39" customHeight="1" x14ac:dyDescent="0.25">
      <c r="A34" s="53" t="s">
        <v>47</v>
      </c>
      <c r="B34" s="54"/>
      <c r="C34" s="10" t="s">
        <v>22</v>
      </c>
      <c r="D34" s="18">
        <v>4858.1000000000004</v>
      </c>
      <c r="E34" s="28">
        <v>2668.7</v>
      </c>
      <c r="F34" s="28">
        <v>2628.7</v>
      </c>
      <c r="G34" s="28">
        <v>2849.5</v>
      </c>
      <c r="H34" s="28">
        <v>3060.3</v>
      </c>
      <c r="I34" s="28">
        <v>3326.6</v>
      </c>
      <c r="J34" s="24">
        <f>I34*104.7/100</f>
        <v>3482.9502000000002</v>
      </c>
      <c r="K34" s="24">
        <f>J34*104.5/100</f>
        <v>3639.6829590000002</v>
      </c>
      <c r="L34" s="24">
        <f>K34*104.3/100</f>
        <v>3796.1893262369999</v>
      </c>
      <c r="M34" s="24">
        <f>L34*104.1/100</f>
        <v>3951.8330886127164</v>
      </c>
      <c r="N34" s="24">
        <f>M34*104/100</f>
        <v>4109.9064121572246</v>
      </c>
      <c r="O34" s="24">
        <f>N34*103.8/100</f>
        <v>4266.0828558191988</v>
      </c>
      <c r="P34" s="25">
        <f>O34*103.7/100</f>
        <v>4423.9279214845092</v>
      </c>
    </row>
    <row r="35" spans="1:16" ht="24.75" customHeight="1" x14ac:dyDescent="0.25">
      <c r="A35" s="49" t="s">
        <v>29</v>
      </c>
      <c r="B35" s="50"/>
      <c r="C35" s="14" t="s">
        <v>18</v>
      </c>
      <c r="D35" s="15"/>
      <c r="E35" s="16">
        <v>50.4</v>
      </c>
      <c r="F35" s="23">
        <v>100</v>
      </c>
      <c r="G35" s="23">
        <v>102.9</v>
      </c>
      <c r="H35" s="23">
        <v>103.9</v>
      </c>
      <c r="I35" s="23">
        <v>104.8</v>
      </c>
      <c r="J35" s="16">
        <v>105.4</v>
      </c>
      <c r="K35" s="16">
        <v>105.8</v>
      </c>
      <c r="L35" s="16">
        <v>106.3</v>
      </c>
      <c r="M35" s="16">
        <v>106.8</v>
      </c>
      <c r="N35" s="16">
        <v>107.3</v>
      </c>
      <c r="O35" s="16">
        <v>107.8</v>
      </c>
      <c r="P35" s="31">
        <v>108.2</v>
      </c>
    </row>
    <row r="36" spans="1:16" ht="16.5" customHeight="1" thickBot="1" x14ac:dyDescent="0.3">
      <c r="A36" s="58" t="s">
        <v>33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60"/>
    </row>
    <row r="37" spans="1:16" ht="26.25" customHeight="1" x14ac:dyDescent="0.25">
      <c r="A37" s="53" t="s">
        <v>34</v>
      </c>
      <c r="B37" s="54"/>
      <c r="C37" s="10" t="s">
        <v>22</v>
      </c>
      <c r="D37" s="22">
        <v>32510.2</v>
      </c>
      <c r="E37" s="19">
        <v>35560.699999999997</v>
      </c>
      <c r="F37" s="19">
        <v>34796.1</v>
      </c>
      <c r="G37" s="19">
        <v>37166.1</v>
      </c>
      <c r="H37" s="19">
        <v>40160.199999999997</v>
      </c>
      <c r="I37" s="19">
        <v>43855</v>
      </c>
      <c r="J37" s="29">
        <f>I37*106.1/100</f>
        <v>46530.154999999999</v>
      </c>
      <c r="K37" s="29">
        <f>J37*106.5/100</f>
        <v>49554.615075000002</v>
      </c>
      <c r="L37" s="29">
        <f>K37*105.9/100</f>
        <v>52478.33736442501</v>
      </c>
      <c r="M37" s="29">
        <f>L37*106.3/100</f>
        <v>55784.472618383785</v>
      </c>
      <c r="N37" s="29">
        <f>M37*106.1/100</f>
        <v>59187.325448105199</v>
      </c>
      <c r="O37" s="29">
        <f>N37*106.1/100</f>
        <v>62797.752300439613</v>
      </c>
      <c r="P37" s="30">
        <f>O37*106.4/100</f>
        <v>66816.808447667747</v>
      </c>
    </row>
    <row r="38" spans="1:16" ht="27.75" customHeight="1" x14ac:dyDescent="0.25">
      <c r="A38" s="49" t="s">
        <v>29</v>
      </c>
      <c r="B38" s="50"/>
      <c r="C38" s="10" t="s">
        <v>18</v>
      </c>
      <c r="D38" s="6"/>
      <c r="E38" s="4">
        <v>105.9</v>
      </c>
      <c r="F38" s="24">
        <v>95</v>
      </c>
      <c r="G38" s="24">
        <v>103</v>
      </c>
      <c r="H38" s="24">
        <v>104</v>
      </c>
      <c r="I38" s="24">
        <v>105</v>
      </c>
      <c r="J38" s="4">
        <v>102.8</v>
      </c>
      <c r="K38" s="24">
        <v>103</v>
      </c>
      <c r="L38" s="4">
        <v>102.5</v>
      </c>
      <c r="M38" s="4">
        <v>103.1</v>
      </c>
      <c r="N38" s="4">
        <v>103.4</v>
      </c>
      <c r="O38" s="4">
        <v>103.8</v>
      </c>
      <c r="P38" s="25">
        <v>104</v>
      </c>
    </row>
    <row r="39" spans="1:16" ht="26.25" customHeight="1" x14ac:dyDescent="0.25">
      <c r="A39" s="53" t="s">
        <v>35</v>
      </c>
      <c r="B39" s="54"/>
      <c r="C39" s="10" t="s">
        <v>22</v>
      </c>
      <c r="D39" s="18">
        <v>1488.3</v>
      </c>
      <c r="E39" s="28">
        <v>1720.7</v>
      </c>
      <c r="F39" s="28">
        <v>1641.9</v>
      </c>
      <c r="G39" s="28">
        <v>1757.1</v>
      </c>
      <c r="H39" s="28">
        <v>1896.8</v>
      </c>
      <c r="I39" s="28">
        <v>2051.5</v>
      </c>
      <c r="J39" s="24">
        <f>I39*108.4/100</f>
        <v>2223.826</v>
      </c>
      <c r="K39" s="24">
        <f>J39*108.7/100</f>
        <v>2417.2988620000001</v>
      </c>
      <c r="L39" s="24">
        <f>K39*108.1/100</f>
        <v>2613.100069822</v>
      </c>
      <c r="M39" s="24">
        <f>L39*108.5/100</f>
        <v>2835.2135757568699</v>
      </c>
      <c r="N39" s="24">
        <f>M39*108/100</f>
        <v>3062.0306618174195</v>
      </c>
      <c r="O39" s="24">
        <f>N39*108/100</f>
        <v>3306.9931147628131</v>
      </c>
      <c r="P39" s="25">
        <f>O39*108.3/100</f>
        <v>3581.4735432881262</v>
      </c>
    </row>
    <row r="40" spans="1:16" ht="24.75" customHeight="1" x14ac:dyDescent="0.25">
      <c r="A40" s="49" t="s">
        <v>29</v>
      </c>
      <c r="B40" s="50"/>
      <c r="C40" s="10" t="s">
        <v>18</v>
      </c>
      <c r="D40" s="6"/>
      <c r="E40" s="4">
        <v>112.6</v>
      </c>
      <c r="F40" s="24">
        <v>93</v>
      </c>
      <c r="G40" s="24">
        <v>103</v>
      </c>
      <c r="H40" s="24">
        <v>103.5</v>
      </c>
      <c r="I40" s="24">
        <v>104</v>
      </c>
      <c r="J40" s="4">
        <v>102.7</v>
      </c>
      <c r="K40" s="4">
        <v>102.8</v>
      </c>
      <c r="L40" s="4">
        <v>102.4</v>
      </c>
      <c r="M40" s="24">
        <v>103</v>
      </c>
      <c r="N40" s="24">
        <v>103.2</v>
      </c>
      <c r="O40" s="4">
        <v>103.6</v>
      </c>
      <c r="P40" s="5">
        <v>103.8</v>
      </c>
    </row>
    <row r="41" spans="1:16" ht="26.25" customHeight="1" x14ac:dyDescent="0.25">
      <c r="A41" s="53" t="s">
        <v>36</v>
      </c>
      <c r="B41" s="54"/>
      <c r="C41" s="10" t="s">
        <v>22</v>
      </c>
      <c r="D41" s="18">
        <v>10583.1</v>
      </c>
      <c r="E41" s="28">
        <v>11192.3</v>
      </c>
      <c r="F41" s="28">
        <v>10405.5</v>
      </c>
      <c r="G41" s="28">
        <v>11124.9</v>
      </c>
      <c r="H41" s="28">
        <v>12067.4</v>
      </c>
      <c r="I41" s="28">
        <v>13215.6</v>
      </c>
      <c r="J41" s="24">
        <f>I41*108.8/100</f>
        <v>14378.5728</v>
      </c>
      <c r="K41" s="24">
        <f>J41*109.2/100</f>
        <v>15701.4014976</v>
      </c>
      <c r="L41" s="24">
        <f>K41*108.5/100</f>
        <v>17036.020624895998</v>
      </c>
      <c r="M41" s="24">
        <f>L41*108.9/100</f>
        <v>18552.226460511742</v>
      </c>
      <c r="N41" s="24">
        <f>M41*108.5/100</f>
        <v>20129.165709655241</v>
      </c>
      <c r="O41" s="24">
        <f>N41*108.5/100</f>
        <v>21840.144794975939</v>
      </c>
      <c r="P41" s="25">
        <f>O41*108.8/100</f>
        <v>23762.077536933823</v>
      </c>
    </row>
    <row r="42" spans="1:16" ht="25.5" customHeight="1" x14ac:dyDescent="0.25">
      <c r="A42" s="53" t="s">
        <v>29</v>
      </c>
      <c r="B42" s="54"/>
      <c r="C42" s="10" t="s">
        <v>18</v>
      </c>
      <c r="D42" s="26"/>
      <c r="E42" s="4">
        <v>101.5</v>
      </c>
      <c r="F42" s="24">
        <v>90</v>
      </c>
      <c r="G42" s="24">
        <v>103</v>
      </c>
      <c r="H42" s="24">
        <v>104</v>
      </c>
      <c r="I42" s="24">
        <v>105</v>
      </c>
      <c r="J42" s="4">
        <v>103.1</v>
      </c>
      <c r="K42" s="4">
        <v>103.3</v>
      </c>
      <c r="L42" s="4">
        <v>102.8</v>
      </c>
      <c r="M42" s="4">
        <v>103.4</v>
      </c>
      <c r="N42" s="4">
        <v>103.7</v>
      </c>
      <c r="O42" s="4">
        <v>104.1</v>
      </c>
      <c r="P42" s="25">
        <v>104.3</v>
      </c>
    </row>
    <row r="43" spans="1:16" ht="15.75" x14ac:dyDescent="0.25">
      <c r="A43" s="61"/>
      <c r="B43" s="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5.75" x14ac:dyDescent="0.25">
      <c r="A44" s="61"/>
      <c r="B44" s="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5.75" x14ac:dyDescent="0.25">
      <c r="A45" s="61"/>
      <c r="B45" s="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5.75" x14ac:dyDescent="0.25">
      <c r="A46" s="61"/>
      <c r="B46" s="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5.75" x14ac:dyDescent="0.25">
      <c r="A47" s="61"/>
      <c r="B47" s="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5.75" x14ac:dyDescent="0.25">
      <c r="A48" s="61"/>
      <c r="B48" s="6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5.75" x14ac:dyDescent="0.25">
      <c r="A49" s="61"/>
      <c r="B49" s="6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5.75" x14ac:dyDescent="0.25">
      <c r="A50" s="61"/>
      <c r="B50" s="61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5.75" x14ac:dyDescent="0.25">
      <c r="A51" s="61"/>
      <c r="B51" s="61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5.75" x14ac:dyDescent="0.25">
      <c r="A52" s="61"/>
      <c r="B52" s="61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5.75" x14ac:dyDescent="0.25">
      <c r="A53" s="61"/>
      <c r="B53" s="6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15.75" x14ac:dyDescent="0.25">
      <c r="A54" s="61"/>
      <c r="B54" s="61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5.75" x14ac:dyDescent="0.25">
      <c r="A55" s="61"/>
      <c r="B55" s="61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ht="15.75" x14ac:dyDescent="0.25">
      <c r="A56" s="61"/>
      <c r="B56" s="6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ht="15.75" x14ac:dyDescent="0.25">
      <c r="A57" s="61"/>
      <c r="B57" s="6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ht="15.75" x14ac:dyDescent="0.25">
      <c r="A58" s="61"/>
      <c r="B58" s="6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ht="15.75" x14ac:dyDescent="0.25">
      <c r="A59" s="61"/>
      <c r="B59" s="61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15.75" x14ac:dyDescent="0.25">
      <c r="A60" s="61"/>
      <c r="B60" s="61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ht="15.75" x14ac:dyDescent="0.25">
      <c r="A61" s="61"/>
      <c r="B61" s="61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5.75" x14ac:dyDescent="0.25">
      <c r="A62" s="61"/>
      <c r="B62" s="61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5.75" x14ac:dyDescent="0.25">
      <c r="A63" s="61"/>
      <c r="B63" s="61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5.75" x14ac:dyDescent="0.25">
      <c r="A64" s="61"/>
      <c r="B64" s="61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5.75" x14ac:dyDescent="0.25">
      <c r="A65" s="61"/>
      <c r="B65" s="61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5.75" x14ac:dyDescent="0.25">
      <c r="A66" s="61"/>
      <c r="B66" s="61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5.75" x14ac:dyDescent="0.25">
      <c r="A67" s="61"/>
      <c r="B67" s="61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5.75" x14ac:dyDescent="0.25">
      <c r="A68" s="61"/>
      <c r="B68" s="61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5.75" x14ac:dyDescent="0.25">
      <c r="A69" s="61"/>
      <c r="B69" s="61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5.75" x14ac:dyDescent="0.25">
      <c r="A70" s="61"/>
      <c r="B70" s="61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5.75" x14ac:dyDescent="0.25">
      <c r="A71" s="61"/>
      <c r="B71" s="61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5.75" x14ac:dyDescent="0.25">
      <c r="A72" s="61"/>
      <c r="B72" s="61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5.75" x14ac:dyDescent="0.25">
      <c r="A73" s="61"/>
      <c r="B73" s="61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5.75" x14ac:dyDescent="0.25">
      <c r="A74" s="61"/>
      <c r="B74" s="61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</sheetData>
  <mergeCells count="75">
    <mergeCell ref="A38:B38"/>
    <mergeCell ref="A27:B27"/>
    <mergeCell ref="A30:B30"/>
    <mergeCell ref="A29:B29"/>
    <mergeCell ref="A32:B32"/>
    <mergeCell ref="A33:B33"/>
    <mergeCell ref="A34:B34"/>
    <mergeCell ref="A31:P31"/>
    <mergeCell ref="A28:B28"/>
    <mergeCell ref="A35:B35"/>
    <mergeCell ref="A37:B37"/>
    <mergeCell ref="A36:P36"/>
    <mergeCell ref="A10:B11"/>
    <mergeCell ref="C10:C11"/>
    <mergeCell ref="A12:P12"/>
    <mergeCell ref="D10:D11"/>
    <mergeCell ref="E10:E11"/>
    <mergeCell ref="F10:F11"/>
    <mergeCell ref="A42:B42"/>
    <mergeCell ref="A43:B43"/>
    <mergeCell ref="A39:B39"/>
    <mergeCell ref="A40:B40"/>
    <mergeCell ref="A44:B44"/>
    <mergeCell ref="A41:B41"/>
    <mergeCell ref="A62:B62"/>
    <mergeCell ref="A59:B59"/>
    <mergeCell ref="A58:B58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2:B72"/>
    <mergeCell ref="A71:B71"/>
    <mergeCell ref="A73:B73"/>
    <mergeCell ref="A57:B57"/>
    <mergeCell ref="A56:B56"/>
    <mergeCell ref="A45:B45"/>
    <mergeCell ref="A46:B46"/>
    <mergeCell ref="A47:B47"/>
    <mergeCell ref="A48:B48"/>
    <mergeCell ref="A51:B51"/>
    <mergeCell ref="A52:B52"/>
    <mergeCell ref="A53:B53"/>
    <mergeCell ref="A54:B54"/>
    <mergeCell ref="A49:B49"/>
    <mergeCell ref="A55:B55"/>
    <mergeCell ref="A50:B50"/>
    <mergeCell ref="G9:L9"/>
    <mergeCell ref="A26:B26"/>
    <mergeCell ref="A13:B13"/>
    <mergeCell ref="A17:B17"/>
    <mergeCell ref="A19:B19"/>
    <mergeCell ref="A20:B20"/>
    <mergeCell ref="A23:B23"/>
    <mergeCell ref="A24:B24"/>
    <mergeCell ref="A25:B25"/>
    <mergeCell ref="A15:B15"/>
    <mergeCell ref="A16:B16"/>
    <mergeCell ref="A21:B21"/>
    <mergeCell ref="G10:P10"/>
    <mergeCell ref="A14:B14"/>
    <mergeCell ref="A22:P22"/>
    <mergeCell ref="A18:B18"/>
    <mergeCell ref="K3:P3"/>
    <mergeCell ref="K4:P4"/>
    <mergeCell ref="K5:P5"/>
    <mergeCell ref="K2:P2"/>
    <mergeCell ref="B7:O8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Задорожная Оксана Валерьевна</dc:creator>
  <cp:lastModifiedBy>Вершинина Ирина Анатольевна</cp:lastModifiedBy>
  <cp:lastPrinted>2020-10-01T13:04:17Z</cp:lastPrinted>
  <dcterms:created xsi:type="dcterms:W3CDTF">2020-06-05T11:16:20Z</dcterms:created>
  <dcterms:modified xsi:type="dcterms:W3CDTF">2020-10-01T13:20:25Z</dcterms:modified>
</cp:coreProperties>
</file>